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agencia\ana\SPR\02_INFRAESTRUTURA_HIDRICA\SANEAMENTO\1_ATLAS_Despoluição\"/>
    </mc:Choice>
  </mc:AlternateContent>
  <bookViews>
    <workbookView xWindow="0" yWindow="0" windowWidth="25125" windowHeight="12210"/>
  </bookViews>
  <sheets>
    <sheet name="Plan1" sheetId="1" r:id="rId1"/>
  </sheets>
  <definedNames>
    <definedName name="_xlnm._FilterDatabase" localSheetId="0" hidden="1">Plan1!$A$2:$M$41</definedName>
  </definedNam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L30" i="1"/>
  <c r="H31" i="1"/>
  <c r="H29" i="1"/>
  <c r="H27" i="1"/>
  <c r="H26" i="1"/>
  <c r="H25" i="1"/>
  <c r="H24" i="1"/>
  <c r="H23" i="1"/>
  <c r="H22" i="1"/>
  <c r="L22" i="1"/>
  <c r="H20" i="1"/>
  <c r="H17" i="1"/>
  <c r="H16" i="1"/>
  <c r="H15" i="1"/>
  <c r="H14" i="1"/>
  <c r="H13" i="1"/>
  <c r="H12" i="1"/>
  <c r="H10" i="1"/>
  <c r="H9" i="1"/>
  <c r="H7" i="1"/>
  <c r="H6" i="1"/>
  <c r="L39" i="1"/>
  <c r="J39" i="1"/>
  <c r="L41" i="1"/>
  <c r="J41" i="1"/>
  <c r="H41" i="1"/>
  <c r="H40" i="1"/>
  <c r="H39" i="1"/>
  <c r="H38" i="1"/>
  <c r="H37" i="1"/>
  <c r="H34" i="1"/>
  <c r="H32" i="1"/>
  <c r="H28" i="1"/>
  <c r="H11" i="1"/>
  <c r="H35" i="1"/>
  <c r="G33" i="1"/>
  <c r="H33" i="1" s="1"/>
  <c r="G21" i="1"/>
  <c r="H18" i="1"/>
  <c r="H8" i="1"/>
  <c r="H4" i="1" l="1"/>
  <c r="H5" i="1"/>
  <c r="H19" i="1"/>
  <c r="H21" i="1"/>
  <c r="H30" i="1"/>
  <c r="H36" i="1"/>
  <c r="H3" i="1"/>
  <c r="J19" i="1"/>
  <c r="J33" i="1"/>
  <c r="J36" i="1"/>
  <c r="J37" i="1"/>
  <c r="J38" i="1"/>
  <c r="J40" i="1"/>
  <c r="J32" i="1"/>
  <c r="J31" i="1"/>
  <c r="J30" i="1"/>
  <c r="J29" i="1"/>
  <c r="J28" i="1"/>
  <c r="J26" i="1"/>
  <c r="J25" i="1"/>
  <c r="J24" i="1"/>
  <c r="J23" i="1"/>
  <c r="J22" i="1"/>
  <c r="J20" i="1"/>
  <c r="J17" i="1"/>
  <c r="J16" i="1"/>
  <c r="J15" i="1"/>
  <c r="J14" i="1"/>
  <c r="J10" i="1"/>
  <c r="J9" i="1"/>
  <c r="J8" i="1"/>
  <c r="J7" i="1"/>
  <c r="J6" i="1"/>
  <c r="J4" i="1"/>
  <c r="J5" i="1"/>
</calcChain>
</file>

<file path=xl/sharedStrings.xml><?xml version="1.0" encoding="utf-8"?>
<sst xmlns="http://schemas.openxmlformats.org/spreadsheetml/2006/main" count="263" uniqueCount="182">
  <si>
    <t>UF</t>
  </si>
  <si>
    <t>Prestador</t>
  </si>
  <si>
    <t>Custo Atlas Esgotos</t>
  </si>
  <si>
    <t>Tratamento (R$)</t>
  </si>
  <si>
    <t>Total (R$)</t>
  </si>
  <si>
    <t>Descritivo Pleito TTAC Doce</t>
  </si>
  <si>
    <t>Coleta (R$)</t>
  </si>
  <si>
    <t>Custo total Pleito (R$)</t>
  </si>
  <si>
    <t>Custo obra sede (R$)</t>
  </si>
  <si>
    <t>Observações</t>
  </si>
  <si>
    <t>Aimorés</t>
  </si>
  <si>
    <t>MG</t>
  </si>
  <si>
    <t>Alpercata</t>
  </si>
  <si>
    <t>Baixo Guandu</t>
  </si>
  <si>
    <t>ES</t>
  </si>
  <si>
    <t>Barra Longa</t>
  </si>
  <si>
    <t xml:space="preserve">Belo Oriente </t>
  </si>
  <si>
    <t>Bom Jesus do Galho</t>
  </si>
  <si>
    <t>Bugre</t>
  </si>
  <si>
    <t>Caratinga</t>
  </si>
  <si>
    <t>Colatina</t>
  </si>
  <si>
    <t>Conselheiro Pena</t>
  </si>
  <si>
    <t>Córrego Novo</t>
  </si>
  <si>
    <t>Dionísio</t>
  </si>
  <si>
    <t>Fernandes Tourinho</t>
  </si>
  <si>
    <t>Galiléia</t>
  </si>
  <si>
    <t>Governador Valadares</t>
  </si>
  <si>
    <t>Iapu</t>
  </si>
  <si>
    <t>Ipatinga</t>
  </si>
  <si>
    <t>Ipaba</t>
  </si>
  <si>
    <t>Linhares</t>
  </si>
  <si>
    <t>Itueta</t>
  </si>
  <si>
    <t xml:space="preserve">Mariana </t>
  </si>
  <si>
    <t>Marilândia</t>
  </si>
  <si>
    <t>Mariléria</t>
  </si>
  <si>
    <t xml:space="preserve">Naque </t>
  </si>
  <si>
    <t>Pingo-d'Água</t>
  </si>
  <si>
    <t>Raul Soares</t>
  </si>
  <si>
    <t>Resplendor</t>
  </si>
  <si>
    <t>Rio Casca</t>
  </si>
  <si>
    <t>Rio Doce</t>
  </si>
  <si>
    <t>Santa Cruz do Escalvado</t>
  </si>
  <si>
    <t>Santana do Paraíso</t>
  </si>
  <si>
    <t>São Domingos do Prata</t>
  </si>
  <si>
    <t>São José do Goiabal</t>
  </si>
  <si>
    <t>São Pedro dos Ferros</t>
  </si>
  <si>
    <t>Sem-Peixe</t>
  </si>
  <si>
    <t>Sobrália</t>
  </si>
  <si>
    <t>Timóteo</t>
  </si>
  <si>
    <t>Tumiritinga</t>
  </si>
  <si>
    <t>Ordem</t>
  </si>
  <si>
    <t>MG-01</t>
  </si>
  <si>
    <t>ES-02</t>
  </si>
  <si>
    <t>ES-03</t>
  </si>
  <si>
    <t>ES-04</t>
  </si>
  <si>
    <t>ES-01</t>
  </si>
  <si>
    <t>População 2015 (NT 02 - CT-SHQA)</t>
  </si>
  <si>
    <t>Nome Município</t>
  </si>
  <si>
    <t>Serviço Autônomo de Água e Esgoto de Marilândia</t>
  </si>
  <si>
    <t>Serviço Autonomo de Água e Esgoto de Linhares</t>
  </si>
  <si>
    <t>Serviço Colatinense de Meio Ambiente e Saneamento Ambiental</t>
  </si>
  <si>
    <t>Serviço Autônomo de Água e Esgoto de Baixo Guandu</t>
  </si>
  <si>
    <t>MG-02</t>
  </si>
  <si>
    <t>MG-03</t>
  </si>
  <si>
    <t>MG-04</t>
  </si>
  <si>
    <t>MG-05</t>
  </si>
  <si>
    <t>MG-06</t>
  </si>
  <si>
    <t>MG-07</t>
  </si>
  <si>
    <t>MG-08</t>
  </si>
  <si>
    <t>MG-09</t>
  </si>
  <si>
    <t>MG-10</t>
  </si>
  <si>
    <t>MG-11</t>
  </si>
  <si>
    <t>MG-12</t>
  </si>
  <si>
    <t>MG-13</t>
  </si>
  <si>
    <t>MG-14</t>
  </si>
  <si>
    <t>MG-15</t>
  </si>
  <si>
    <t>MG-16</t>
  </si>
  <si>
    <t>COPASA</t>
  </si>
  <si>
    <t>MG-19</t>
  </si>
  <si>
    <t>MG-31</t>
  </si>
  <si>
    <t>MG-33</t>
  </si>
  <si>
    <t>MG-17</t>
  </si>
  <si>
    <t>MG-18</t>
  </si>
  <si>
    <t>MG-20</t>
  </si>
  <si>
    <t>MG-21</t>
  </si>
  <si>
    <t>MG-22</t>
  </si>
  <si>
    <t>MG-23</t>
  </si>
  <si>
    <t>Periquito</t>
  </si>
  <si>
    <t>MG-24</t>
  </si>
  <si>
    <t>MG-25</t>
  </si>
  <si>
    <t>MG-26</t>
  </si>
  <si>
    <t>MG-27</t>
  </si>
  <si>
    <t>MG-28</t>
  </si>
  <si>
    <t>MG-29</t>
  </si>
  <si>
    <t>MG-30</t>
  </si>
  <si>
    <t>MG-32</t>
  </si>
  <si>
    <t>MG-34</t>
  </si>
  <si>
    <t>MG-35</t>
  </si>
  <si>
    <t>Serviço Autônomo de Água e Esgoto de Mariana</t>
  </si>
  <si>
    <t>Prefeitura</t>
  </si>
  <si>
    <t>Elaboração e adequação de projetos de engenharia de sistema de esgotamento sanitário da sede do município e dos distritos de Baixa Verde e Conceição de Minas.</t>
  </si>
  <si>
    <t>Implantação de sistema de esgotamento sanitário da sede do município</t>
  </si>
  <si>
    <t>Elaboração sde projeto de sistema de esgotamento sanitário da sede do município e distrito de Era Nova</t>
  </si>
  <si>
    <t>Construção do sistema de esgotamento sanitário da sede do município.</t>
  </si>
  <si>
    <t>Elaboração de projeto técnico para instalação de ETE nos 10 distritos do município</t>
  </si>
  <si>
    <t>Ampliação do sistema de esgotamento sanitário do município de Santana do Paraíso</t>
  </si>
  <si>
    <t>Não informado</t>
  </si>
  <si>
    <t>Adequação de projeto de engenharia da ETE de Barra Longa + Substituição de rede de esgoto incluindo execução de rede inteceptora e contrução da ETE</t>
  </si>
  <si>
    <t>Construção de SES para o distrito de Matadouro + Construção de SES para o distrito de Jorge + Construção de SES para o distrito de São José de Entre Montes</t>
  </si>
  <si>
    <t>Elaboração de projetos de engenharia para a sede do município, distritos e povoados + Estudo de alternativas locacionais para implantação da ETE, aquisição do terreno na sede do município, distritos e povoados</t>
  </si>
  <si>
    <t>-</t>
  </si>
  <si>
    <t>Elaboração de projetos executivos de redes coletoras e interceptores na sede e distritos + Execução de melhorias e complementação de redes de coleta de esgotos e interceptores</t>
  </si>
  <si>
    <t>Serviço Autônomo de Água e Esgoto de Raul Soares</t>
  </si>
  <si>
    <t>Serviço Autônomo de Água e Esgoto de Governador Valadares</t>
  </si>
  <si>
    <t>Serviço Autônomo de Água e Esgoto de Galiléia</t>
  </si>
  <si>
    <t>Serviço Autônomo de Água e Esgoto de Conselheiro Pena</t>
  </si>
  <si>
    <t>Serviço Autônomo de Água e Esgoto de Aimorés</t>
  </si>
  <si>
    <t>Elaboração de projeto para a sede do município de Ipatinga + Ampliação do sistema de coleta e tratamento de esgoto da sede do município - Bairros Vila Celeste, Barra Alegre, Horto, Vila Militar e Forquilha</t>
  </si>
  <si>
    <t>Elaboração de projeto de sistema de esgotamento sanitário da sede do município e povoado de Boachá + Implantação de sistema de esgotamento sanitário da sede do município e povoado de Boachá</t>
  </si>
  <si>
    <t>Elaboração de projeto de sistema de esgotamento sanitário da sede do município e do distrito de São Sebastião da Barra + Implantação de sistema de esgotamento sanitário da sede do município e distrito de São Sebastião da Barra</t>
  </si>
  <si>
    <t>Elaboração de projetos de sistema de esgotamento sanitário das localidades de Bugre, Boachá, São Lourenço, Livramento e São José do Bugre + Implantação de sistema de esgotamento sanitário das localidades de Bugre, Boachá, São Lourenço, Livramento e São José do Bugre</t>
  </si>
  <si>
    <t>Elaboração de projetos de sistema de esgotamento sanitário da sede do município e distritos + Implantação de sistema de esgotamento sanitário da sede do município e distritos.</t>
  </si>
  <si>
    <t>Elaboração de projetos de sistema de esgotamento sanitário da sede do município e distrito de Plautino Soares + Implantação de sistema de esgotamento sanitário da sede do município e distrito de Plautino Soares.</t>
  </si>
  <si>
    <t>Elaboração de projetos de obras de infraestrutura urbana no município de linhares (em fase de licitação); elaboração de projetos de SES dos distritos de Rio Quartel, Bagueira, Guaxe, Chapadão das Palminhas, Humaitá; e construção de emissário de esgoto bruto (etapa útil) + Outras obras complementares - SES do distrito de Povoação (obra iniciada e paralisada em 2012) + Outras obras complementares - SES do distrito de Regência (obra iniciada e paralisada em 2012) + Outras obras complementares - ampliação do SES da sede municipal - construção de ETE, no bairro Aviso + Construção de EEEB - bairro Canivete + Construção de EEEB - bairro Aviso + Contratação de empresa para conclusão da implantação e recuperação das obras  já executadas  do SES + Reforma das 65 EEEBs + Implantação de biodigestor para tratamento de esgoto</t>
  </si>
  <si>
    <t>Elaboração de projeto de engenharia do distrito de São Bartolomeu + Elaboração de projeto de engenharia do vilarejo de São Paulino e toda a zona rural + Complementação de recursos de contrapartida para o TC/PAC 0366/14 + Implantação tratamento de esgotos do Distrito de São Bartolomeu + Construção de fossas e sumiduros</t>
  </si>
  <si>
    <t>Elaboração de projeto para ampliação do sistema de esgotamento sanitário da sede do município + Devolução ao orgão concedente (Instituto Jones dos Santos Neves) de recursos utilizados indevidamente na execução do convênio nº 20/2011 cujo objeto é a "Melhoria do sistema de esgotamento sanitário da sede do Município de Baixo Guandu".</t>
  </si>
  <si>
    <t>Adequação de projeto para ampliação da capacidade de tratamento da ETE da sede do município + Projeto para ampliação da atual capacidade de tratamento existente do comunidade de São Marcos + Projeto para ampliação da atual capacidade de tratamento existente do comunidade de Monte Sinai + Elaboração de projeto do sistema de esgotamento sanitário da comunidade de Patrão Mor + Projeto para ampliação da atual capacidade de tratamento existente do comunidade de Alto Liberdade</t>
  </si>
  <si>
    <t>Elaboração de projeto de sistema de esgotamento sanitário para a sede do município e distritos + Construção do sistema de esgotamento sanitário do distrito de São Sebastião da Vala + Construção do sistema de esgotamento sanitário do distrito de Mundo Novo</t>
  </si>
  <si>
    <t>Elaboração de projeto para construção de sistema de tratamento de esgotos da Vila Neitzel + Construção de laboratório para análise do tratamento de esgotos da sede do municípío + Construção do sistema de esgotamento sanitário da Vila Neitzel</t>
  </si>
  <si>
    <t>Elaboração de projetos de sistema de esgotamento sanitário da sede do município + Aquisição de terrenos para implantação do sistema de esgotamento sanitário da sede do município  + Contratação de empresa para apoio na regularização ambiental da obra do SES da sede do município? + Implantação do sistema de esgotamento sanitário da sede do município</t>
  </si>
  <si>
    <t>Elaboração de Projeto do sistema de esgotamento sanitário do vilarejo de Jurumirim + Complementação de recursos de contrapartida para TC/PAC 0352/14 + Contratação de assessoria técnica para acompanhamento técnico de obras do TC/PAC 0352/14 + Contratação de assessoria técnica para apoio na obtenção de licença ambiental das ETEs do distrito de vista Alegre e Jurumirim + Implantação de sistema de esgotamento sanitário do povoado de Vista Alegre + Implantação de sistema de esgotamento sanitário do vilarejo de Jurumirim</t>
  </si>
  <si>
    <t>Somente ações nos distritos e estes não foram avaliados no Atlas Esgotos.</t>
  </si>
  <si>
    <t>Elaboração de projeto de sistema de esgotamento sanitário das localidades de São João, Biboca, Patrimônio, Lagoa das Palmeiras, Messias Gomes e Isidório + Implantação de sistema de esgotamento sanitário das localidades de São João, Biboca, Patrimônio, Lagoa das Palmeiras, Messias Gomes e Isidório e ainda, adequação do sistema da localidade de Centro.</t>
  </si>
  <si>
    <t>Elaboração de projetos de sistema de esgotamento sanitário para sede do município e distrito de Águas Férreas + Implantação do sistema de esgotamento sanitário da sede do município + Implantação de sistema de esgotamento sanitário do distrito de Águas Férreas</t>
  </si>
  <si>
    <t>Solicitação de projetos. Sem obra na sede. Não é possível comparar com os valores do Atlas Esgotos.</t>
  </si>
  <si>
    <t>Elaboração de projeto de sistema de esgotamento sanitário para a sede do município + Implantação do sistema de esgotamento sanitário da sede do município</t>
  </si>
  <si>
    <t>Elaboração de projeto da ETE Vargem Linda + Elaboração de projeto da rede coletora da sede do município + Dimensionamento e implantação de redes coletoras e sistemas de tratamento de esgotos em comunidades rurais diversas + Adequação de projetos de engenharia no nível de detalhamento que permita a licitação das obras, regularização e licenciamento ambiental + Implantação da estação de tratamento de esgotos ETE - Santana do Alfé + Implantação da estação de tratamento de esgotos ETE - Cõnego João Pio + Implantação da estação de tratamento de esgotos ETE - Ilhéus do Prata + Aquisição de imóveis para implantação de estação de tratamento de esgotos</t>
  </si>
  <si>
    <t>Elaboração de projeto do sistema de esgotamento sanitário do distrito de Cava Grande + Implantação do sistema de esgotamento sanitário do distrito de Cava Grande</t>
  </si>
  <si>
    <t>Informado nos slides 12/05 (R$)</t>
  </si>
  <si>
    <t xml:space="preserve">Elaboração de projetos de engenharia para os distritos de Santa Rita Durão, Monsenhor Horta, Camargos, Bandeiras, Cláudio Manoel, Furquim, Barroca e Passagem de Mariana, incluindo o bairro Liberdade, e sub-distritos de Mainart, Barro Branco e Águas Claras + Adequação de projetos de engenharia para os distritos de Padre Viegas e Cachoeira do Brumadinho + Execução de obras para implantação de SES na sede do município + Execução de obras para implantação de SES no distrito de Padre Viega + Execução de obras para implantação de SES no distrito de Cachoeira do Brumado </t>
  </si>
  <si>
    <t>Elaboração de projeto de sistema de esgotamento sanitário da sede do município + Complementação de recursos de contrapartida + Contratação de assessoria técnica para apoio na obtenção de licença ambiental + 2017/2220 - Rede da Sede e localidades</t>
  </si>
  <si>
    <t>Elaboração de projetos de sistema de esgotamento sanitário da sede do município e distritos de Bom Jesus do Bagre e São Sebastião de Braúnas + Implantação de rede de interceptor de esgotamento sanitário + Ampliação e reestruturação de redes coletoras no município e implantação do programa caça esgoto + Construção de 3 (três) ETE´s (Sede, Distrito de Bom Jesus do Bagre e distrito de São Sebastião de Braúnas)</t>
  </si>
  <si>
    <t>Sistema integrado com Coronel Fabriciano. Obra em andamento com recurso do PAC Mcidades mapeado no Atlas Esgotos no valor de R$ 78.345.000,00. Somados os valores de melhorias e complementação de rede os valores ficam muito próximos dos estimados no Atlas.</t>
  </si>
  <si>
    <t xml:space="preserve">Pleito de contrapartida para projeto do TC/PAC 0352/14 (Valor previsto no PAC Funasa  mapeado no Atlas Esgotos é de R$ 10.583.238,62 - possivelmente incluía também substituição de rede, o que justifica o montante bem superior ao previsto no Atlas). </t>
  </si>
  <si>
    <t>Valores próximos aos estimados pelo Atlas Esgotos. Aponta uma solução compatível com a do Atlas, incluindo eficiência superior e o mesmo corpo receptor  (Rio do Carmo).</t>
  </si>
  <si>
    <t>Não apresentou pleito até o último dia 12/05.</t>
  </si>
  <si>
    <t>Valores na mesma ordem de grandeza e solução é compatível com a do Atlas Esgotos, usando emissário e disposição final no rio Doce. Cabe destacar que os valores do pleito foram revistos em função do teto previsto para o município (R$ 11.344.783,37). O valor apresentado em 2016 foi de R$ 17.187,17.</t>
  </si>
  <si>
    <t>Adequação de projetos de engenharia + Complementação de recursos para contrapartida + Construção da ETE Ilha dos Araújos + Construção da ETE Santa Rita - Parque + Construção da ETE Elvamar + Construção da ETE Centro +  Construção de interceptores e coletores - Sata Rita - ETA Parque + Infraestrutura (terraplenagem), gerenciamento e desapropriações (se necessário), e licenças ambientais + Implantação de ETAs e ETEs nos distritos (ação futura)</t>
  </si>
  <si>
    <t>O município têm dois projetos no PAC Mcidades, um no valor de R$ 51.500.000,00, que contempla a solução com a ETE Elvamar (prevista no Atlas Esgotos e mantida no pleito apresentado) e outro no valor de R$ 78.983.400,00, que contempla a ETE Santos Dumont (também prevista no Atlas). Essa última aparentemente não será mais apresentada como solução, pois parece que tiveram problemas com a área onde a mesma seria construída. As soluções apresentadas preveem a substituição por 4 novos sistemas distribuídos na cidade. Portanto, cabe avaliação da equipe do MCidades.</t>
  </si>
  <si>
    <t>Não tem os detalhes da solução de esgotamento. A exemplo do que foi verificado em outras cidades, a diferença de custos pode ser justificada pela questão de substituição de rede coletora, uma vez que os índices de coleta atuais são superiores a 85%.</t>
  </si>
  <si>
    <t>Ações somente nos distritos e estes não foram avaliados no Atlas Esgotos. Possui projeto no PAC Mcidades no valor de R$ 46.410.000,00. A solução de menor custo prevista no Atlas requer emissário.</t>
  </si>
  <si>
    <t>As informações disponiblizadas pela COPASA no Atlas Esgotos apontam níveis elevados de coleta (&gt; 80%) e de tratamento (duas ETEs), no entanto, devido às características da cidade, que possui uma parte em cada margem do rio Doce, podem ser necessários maiores investimentos em interceptores. Não conseguimos capturar esses detalhes no Atlas Esgotos.</t>
  </si>
  <si>
    <t>Valores do pleito superiores aos estimados pelo Atlas Esgotos. A exemplo do que foi verificado em outras cidades, a diferença de custos pode ser justificada pela questão de substituição de rede coletora, uma vez que os índices de coleta atuais são superiores a 95%. Possui ação no TC/PAC 0078/2014 da Funasa no valor de R$ 2.092.885,88.</t>
  </si>
  <si>
    <t>Não é possível comparar os investimentos do Atlas Esgotos com o pleito devido a uma série de particularidades para a cidade de Baixo Guandu. O município possui ação do TC/PAC 0328/2014 da Funasa no valor de R$ 1.757.549,56 e possui duas ETEs de porte compatível com a necessidade de tratamento no município, mas ambas não possuem as ligações necessárias para funcionamento ou estão proibidas de serem utilizadas com questões técnicas e/ou jurídicas.</t>
  </si>
  <si>
    <t>Não é possível comparar os investimentos do Atlas Esgotos com o pleito porque ele se refere a adequações do projeto na sede e novos projetos para os distritos.</t>
  </si>
  <si>
    <t>Possui pleitos diversos pleito, incluindo R$ 1.500.000,00 para reforma de EEB diversas. É o município em que o investimento proposto no Atlas Esgotso mais se afasta do pleito realizado. Não identificamos no âmbito do Atlas investimentos de outra natureza.</t>
  </si>
  <si>
    <t>Elaboração de projeto executivo de recuperação da ETE do bairro Columbia + Elaboração de projeto executivo de recuperação da ETE do bairro Luiz Iglesias (Acampamento) + Elaboração de projeto executivo de complementação do SES do distrito de Itapina + Elaboração de projeto executivo de complementação do SES do distrito de Boapaba + Elaboração de projeto executivo de complementação do SES do bairro Gordiana Guimarães (Ponte do Pancas) + Elaboração de projeto executivo de complementação do SES do bairro XV de Outubro (Campestre) + Elaboração de projeto executivo de complementação do SES da localidade de Maria Ortiz + Complementação de recursos de contrapartida para implantação da LR 503, parte integrante do SES do Lado Sul (em execução) +  Complementação de recursos de contrapartida para implantação de 1ª etapa ETE (Valor orçado para conclusão, obra em execução) + Contratação de assessoria técnica para supervisão geral da implantação de todos os componentes do SES da sede municipal + Outras ações complementares - execução de ligações domiciliares de esgoto às redes coletoras existentes, e execução de interligações das redes coletoras existentes às redes novas e interceptores + Complementação do SES do Lado Norte da sede municipal - EEEs, LRs e interceptor + Implantação da 2ª etapa do SES do Lado Norte da sede municipal - EEEs e LRs + Recuperação da ETE do Bairro Columbia + Recuperação da ETE do bairro Luiz Iglesias (Acampamento) + Complementação do SES do distrito de Itapina + Complementação do SES do distrito de Boapaba + Complementação do SES do distrito do bairro Gordiano Guimarães (Ponte dos Pancas) + Complementação do SES do distrito do bairro XV de outubro (Campestre) + Implantação do SES da localidade Maria Ortiz</t>
  </si>
  <si>
    <t>As soluções técnicas apresentadas no pleito são compatíveis com o aque nos apresentaram no Atlas Esgotos. O pleito é do investimento de parte das obras na cidade, por isso os valores são inferiores ao investimento previsto no Atlas Esgotos. Possui ações do PAC Mcidades nos valores de R$ 8.500.000.00 + R$ 10.456.766,47. É preciso confirmar os valores, mas o município também tem uma ação em andamento com recursos do BIRD (confrome consta no PMSB).</t>
  </si>
  <si>
    <t>Investimento previsto para substituição de rede. O índice atual de cobertura com rede é elevado (95%), por isso os valores do Atlas Esgotos são tão menores para coleta. O Atlas não considerou a substituição de rede existente nos municípios com dados secundários (Prefeituras), o que somente seria possível avaliar na visita técnica. Projeto elaborado pela Funasa no âmbito do PAC.</t>
  </si>
  <si>
    <t>Somente ações nos distritos e estes não foram avaliados no Atlas Esgotos. Projeto elaborado pela Funasa no âmbito do PAC.</t>
  </si>
  <si>
    <t>Solicitação de projetos e outras ações. Sem obra na sede. Não é possível comparar com os valores do Atlas Esgotos. Possui altos índices de rede coletora (78%).</t>
  </si>
  <si>
    <t>Pleito de contrapartida para projeto do TC/PAC 0366/14. O valor do projeto no TC/PAC 0366/2014 é de R$ 3.450.934,90. Possui altos índices de rede coletora (85%), o que pode justificar as diferenças elevadas do investimento do Atlas em função de possível substituição da rede coletora.</t>
  </si>
  <si>
    <t>Não foi possível identificar separadamente o investimento previsto para a sede do município. Possui muitas ações nos distritos e estes não foram avaliados no Atlas Esgotos. Tem uma ação no TC/PAC 0534/2014 no valor de R$ 2.030.968,70. Também possui altos índices de rede coletora (97%), o que pode justificar as diferenças elevadas do investimento do Atlas em função de possível substituição da rede coletora.</t>
  </si>
  <si>
    <t>Não foi dimensionado investimento em coleta para o município no âmbito do Atlas Esgotos devido ao alto índice de cobertura (90%), o que pode justificar as diferenças para o valor pleiteado devido à previsão de investimento para nova rede coletora. O que chama a atenção é que está pedindo a elaboração do projeto da sede junto com a implantação.</t>
  </si>
  <si>
    <t xml:space="preserve">Não foi dimensionado investimento em coleta para o município no âmbito do Atlas Esgotos devido ao alto índice de cobertura (95%), o que pode justificar as diferenças para o valor pleiteado devido à previsão de investimento para nova rede coletora. </t>
  </si>
  <si>
    <t>Baixo investimento em coleta para o município no âmbito do Atlas Esgotos devido ao alto índice de cobertura (81%), o que pode justificar as diferenças para o valor pleiteado devido à previsão de investimento para nova rede coletora. Também chama a atenção por estar pedindo a elaboração do projeto da sede junto com a implantação.</t>
  </si>
  <si>
    <t>Baixo investimento em coleta para o município no âmbito do Atlas Esgotos devido ao alto índice de cobertura (97%), o que pode justificar as diferenças para o valor pleiteado devido à previsão de investimento para nova rede coletora. Também chama a atenção por estar pedindo a elaboração do projeto da sede junto com a implantação.</t>
  </si>
  <si>
    <t>Solicitação de projetos e outras ações. Sem obra na sede. Não é possível comparar com os valores do Atlas Esgotos. Possui ação no PAC com a Funasa contratada em 2011 para elaboração de projeto.</t>
  </si>
  <si>
    <t>O valor pleiteado é de difícil comparação com os investimentos previstos no Atlas Esgotos pois prevê ação no povoado de Boachá, além da sede do município. Possui índices elevados de rede coletora na sede (85%).</t>
  </si>
  <si>
    <t>No Atlas Esgotos não foram previstos custos para tratamento (já em implementação) mas somente implantação de emissário devido à limitada capacidade de autodepuração dos corpos receptores da cidade. Investimentos em coleta similares. Possui duas ações no PAC com a Funasa: uma iniciada em 2011 para elaboração de projeto e outra no TC/PAC 0318/12 no valor de R$ 3.356.626,15 que devem contemplar as duas ETEs previstas para a cidade. Outro que apresenta no pleito solicitação de projeto junto com as obras.</t>
  </si>
  <si>
    <t>Baixo investimento em coleta para o município no âmbito do Atlas Esgotos devido ao alto índice de cobertura (98%), o que pode justificar as diferenças para o valor pleiteado devido à previsão de investimento para nova rede coletora. Também chama a atenção por estar pedindo a elaboração do projeto da sede junto com a implantação.</t>
  </si>
  <si>
    <t>O valor pleiteado é de difícil comparação com os investimentos previstos no Atlas Esgotos pois prevê ação no distrito de São Sebastião da Barra, além da sede do município. Possui índice elevado também de rede coletora na sede (65%). Também chama a atenção por estar pedindo a elaboração do projeto da sede junto com a implantação.</t>
  </si>
  <si>
    <t>O valor pleiteado é de difícil comparação com os investimentos previstos no Atlas Esgotos pois prevê ação em diversos distritos , além da sede do município. Possui índice elevado também de rede coletora na sede (95%). Também chama a atenção por estar pedindo a elaboração do projeto da sede junto com a implantação.</t>
  </si>
  <si>
    <t>O valor pleiteado é de difícil comparação com os investimentos previstos no Atlas Esgotos pois prevê ação em diversos distritos , além da sede do município. Possui índice elevado também de rede coletora na sede (73%). Também chama a atenção por estar pedindo a elaboração do projeto da sede junto com a implantação.</t>
  </si>
  <si>
    <t>Somente pleiteia elaboração de projeto. Tem índice de rede coletora elevado também (70%).</t>
  </si>
  <si>
    <t>O valor pleiteado é de difícil comparação com os investimentos previstos no Atlas Esgotos pois prevê ação no distrito de Plautino Soares, além da sede do município. Possui índice elevado também de rede coletora na sede (80%). Também chama a atenção por estar pedindo a elaboração do projeto da sede junto com a implantação.</t>
  </si>
  <si>
    <t>Ações não previstas no Atlas Esgotos.</t>
  </si>
  <si>
    <t>Elaboração de projetos de sistema de esgotamento sanitário da sede do município e distrito de São Geraldo do Tumiritinga + Elaboração de projeto para a sede do município ? + Obras de ampliação de sistema de esgotamento sanitário da sede do município. ?</t>
  </si>
  <si>
    <t>O valor pleiteado é menor do que os investimentos previstos no Atlas Esgotos . Possui baixo índice de rede coletora na sede (40%). Também chama a atenção por estar pedindo a elaboração do projeto da sede junto com a implantação.</t>
  </si>
  <si>
    <t>Elaboração de projeto de sistema de esgotamento sanitário do distrito de Senhora de Penha + Adequação de projeto de sistema de esgotamento sanitário da sede do município +  Contratação de assessoria técnica para obtenção de licença ambiental da ETE do distrito de Senhora da Penha + Paisagismo da área interna da ETE, delimitação da área com cerca e guarita, placa de identificação + Contratação de empresa para obra de revitalização na rede coletora de esgotos existente na sede do município + Contratação de empresa para obra de construção de ETE e revitalização na rede coletora de esgotos existente no distrito de Senhora da Penha</t>
  </si>
  <si>
    <t>O valor pleiteado é próximo doos investimentos previstos no Atlas Esgotos . Possui alto índice de rede coletora na sede (96%). Também chama a atenção por estar pedindo a elaboração do projeto da sede junto com a implantação.</t>
  </si>
  <si>
    <t>Valores de coleta do Atlas Esgotos estimados para a projeção de crescimento populacional da cidade para 2035. O pleito se refere a alguns bairros da sede. Para o tratamento foi previsto no Atlas necessidade de ampliação do tratamento.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</si>
</sst>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0" fillId="0" borderId="0" xfId="0" applyAlignment="1">
      <alignment horizontal="center"/>
    </xf>
    <xf numFmtId="4" fontId="0" fillId="0" borderId="0" xfId="0" applyNumberFormat="1"/>
    <xf numFmtId="3" fontId="0" fillId="0" borderId="1" xfId="0" applyNumberFormat="1" applyFont="1" applyBorder="1" applyAlignment="1">
      <alignment horizontal="center" vertical="center"/>
    </xf>
    <xf numFmtId="3" fontId="0" fillId="0" borderId="2" xfId="0" applyNumberFormat="1" applyFont="1" applyBorder="1" applyAlignment="1">
      <alignment horizontal="center" vertical="center"/>
    </xf>
    <xf numFmtId="0" fontId="0" fillId="0" borderId="0" xfId="0" applyAlignment="1">
      <alignment horizontal="center" vertical="center"/>
    </xf>
    <xf numFmtId="4" fontId="0" fillId="0" borderId="0" xfId="0" applyNumberFormat="1" applyAlignment="1">
      <alignment horizontal="center" vertical="center"/>
    </xf>
    <xf numFmtId="0" fontId="0" fillId="0" borderId="0" xfId="0" applyAlignment="1">
      <alignment wrapText="1"/>
    </xf>
    <xf numFmtId="0" fontId="0" fillId="0" borderId="0" xfId="0" applyAlignment="1">
      <alignment horizontal="left" wrapText="1"/>
    </xf>
    <xf numFmtId="0" fontId="0" fillId="0" borderId="2" xfId="0" applyBorder="1" applyAlignment="1">
      <alignment horizontal="left" vertical="center"/>
    </xf>
    <xf numFmtId="0" fontId="0" fillId="0" borderId="2" xfId="0" applyBorder="1" applyAlignment="1">
      <alignment horizontal="center" vertical="center"/>
    </xf>
    <xf numFmtId="0" fontId="0" fillId="0" borderId="2" xfId="0" applyBorder="1" applyAlignment="1">
      <alignment horizontal="left" vertical="center" wrapText="1"/>
    </xf>
    <xf numFmtId="4" fontId="0" fillId="0" borderId="2" xfId="0" applyNumberFormat="1" applyBorder="1" applyAlignment="1">
      <alignment horizontal="center" vertical="center"/>
    </xf>
    <xf numFmtId="0" fontId="2" fillId="0" borderId="2" xfId="0" applyFont="1" applyBorder="1" applyAlignment="1">
      <alignment horizontal="left" vertical="center" wrapText="1"/>
    </xf>
    <xf numFmtId="4" fontId="2" fillId="0" borderId="2" xfId="0" applyNumberFormat="1" applyFont="1" applyBorder="1" applyAlignment="1">
      <alignment horizontal="center" vertical="center"/>
    </xf>
    <xf numFmtId="4" fontId="0" fillId="0" borderId="2" xfId="0" applyNumberFormat="1" applyFill="1" applyBorder="1" applyAlignment="1">
      <alignment horizontal="center" vertical="center"/>
    </xf>
    <xf numFmtId="4" fontId="0" fillId="2" borderId="2" xfId="0" applyNumberForma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4" fontId="0" fillId="0" borderId="1" xfId="0" applyNumberFormat="1" applyBorder="1" applyAlignment="1">
      <alignment horizontal="center" vertical="center"/>
    </xf>
    <xf numFmtId="0" fontId="1" fillId="3" borderId="7" xfId="0" applyFont="1" applyFill="1" applyBorder="1" applyAlignment="1">
      <alignment horizontal="center" vertical="center" wrapText="1"/>
    </xf>
    <xf numFmtId="0" fontId="0" fillId="0" borderId="2" xfId="0" applyFill="1" applyBorder="1" applyAlignment="1">
      <alignment horizontal="left" vertical="center"/>
    </xf>
    <xf numFmtId="0" fontId="0" fillId="0" borderId="2" xfId="0" applyFill="1" applyBorder="1" applyAlignment="1">
      <alignment horizontal="center" vertical="center"/>
    </xf>
    <xf numFmtId="3" fontId="0" fillId="0" borderId="2" xfId="0" applyNumberFormat="1" applyFont="1" applyFill="1" applyBorder="1" applyAlignment="1">
      <alignment horizontal="center" vertical="center"/>
    </xf>
    <xf numFmtId="0" fontId="0" fillId="0" borderId="2" xfId="0" applyFill="1" applyBorder="1" applyAlignment="1">
      <alignment horizontal="left" vertical="center" wrapText="1"/>
    </xf>
    <xf numFmtId="0" fontId="0" fillId="0" borderId="0" xfId="0" applyFill="1" applyAlignment="1">
      <alignment horizontal="center" vertical="center"/>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tabSelected="1" zoomScale="80" zoomScaleNormal="80" workbookViewId="0">
      <pane xSplit="2" ySplit="2" topLeftCell="C12" activePane="bottomRight" state="frozen"/>
      <selection pane="topRight" activeCell="C1" sqref="C1"/>
      <selection pane="bottomLeft" activeCell="A3" sqref="A3"/>
      <selection pane="bottomRight" activeCell="I1" sqref="I1:I1048576"/>
    </sheetView>
  </sheetViews>
  <sheetFormatPr defaultRowHeight="15" x14ac:dyDescent="0.25"/>
  <cols>
    <col min="1" max="1" width="25.7109375" style="1" customWidth="1"/>
    <col min="2" max="2" width="5.7109375" style="1" customWidth="1"/>
    <col min="3" max="3" width="9.140625" style="1"/>
    <col min="4" max="4" width="16.85546875" style="1" customWidth="1"/>
    <col min="5" max="5" width="22.85546875" customWidth="1"/>
    <col min="6" max="8" width="15.7109375" customWidth="1"/>
    <col min="9" max="9" width="70.7109375" hidden="1" customWidth="1"/>
    <col min="10" max="11" width="15.7109375" style="2" customWidth="1"/>
    <col min="12" max="12" width="15.7109375" customWidth="1"/>
    <col min="13" max="13" width="57.7109375" style="7" customWidth="1"/>
  </cols>
  <sheetData>
    <row r="1" spans="1:13" x14ac:dyDescent="0.25">
      <c r="A1" s="31" t="s">
        <v>57</v>
      </c>
      <c r="B1" s="29" t="s">
        <v>0</v>
      </c>
      <c r="C1" s="29" t="s">
        <v>50</v>
      </c>
      <c r="D1" s="29" t="s">
        <v>56</v>
      </c>
      <c r="E1" s="29" t="s">
        <v>1</v>
      </c>
      <c r="F1" s="29" t="s">
        <v>2</v>
      </c>
      <c r="G1" s="29"/>
      <c r="H1" s="29"/>
      <c r="I1" s="29" t="s">
        <v>5</v>
      </c>
      <c r="J1" s="29" t="s">
        <v>7</v>
      </c>
      <c r="K1" s="29" t="s">
        <v>138</v>
      </c>
      <c r="L1" s="29" t="s">
        <v>8</v>
      </c>
      <c r="M1" s="27" t="s">
        <v>9</v>
      </c>
    </row>
    <row r="2" spans="1:13" ht="15.75" thickBot="1" x14ac:dyDescent="0.3">
      <c r="A2" s="32"/>
      <c r="B2" s="30"/>
      <c r="C2" s="30"/>
      <c r="D2" s="30"/>
      <c r="E2" s="30"/>
      <c r="F2" s="21" t="s">
        <v>6</v>
      </c>
      <c r="G2" s="21" t="s">
        <v>3</v>
      </c>
      <c r="H2" s="21" t="s">
        <v>4</v>
      </c>
      <c r="I2" s="30"/>
      <c r="J2" s="30"/>
      <c r="K2" s="30"/>
      <c r="L2" s="30"/>
      <c r="M2" s="28"/>
    </row>
    <row r="3" spans="1:13" s="5" customFormat="1" ht="120" x14ac:dyDescent="0.25">
      <c r="A3" s="17" t="s">
        <v>32</v>
      </c>
      <c r="B3" s="18" t="s">
        <v>11</v>
      </c>
      <c r="C3" s="18" t="s">
        <v>51</v>
      </c>
      <c r="D3" s="3">
        <v>58802</v>
      </c>
      <c r="E3" s="19" t="s">
        <v>98</v>
      </c>
      <c r="F3" s="20">
        <v>29641696.42988541</v>
      </c>
      <c r="G3" s="20">
        <v>32494612.843547411</v>
      </c>
      <c r="H3" s="20">
        <f>F3+G3</f>
        <v>62136309.273432821</v>
      </c>
      <c r="I3" s="19" t="s">
        <v>139</v>
      </c>
      <c r="J3" s="20">
        <v>69062443.700000003</v>
      </c>
      <c r="K3" s="20">
        <v>69062443.700000003</v>
      </c>
      <c r="L3" s="20">
        <v>61005149.390000001</v>
      </c>
      <c r="M3" s="19" t="s">
        <v>144</v>
      </c>
    </row>
    <row r="4" spans="1:13" s="5" customFormat="1" ht="105" x14ac:dyDescent="0.25">
      <c r="A4" s="9" t="s">
        <v>15</v>
      </c>
      <c r="B4" s="10" t="s">
        <v>11</v>
      </c>
      <c r="C4" s="10" t="s">
        <v>62</v>
      </c>
      <c r="D4" s="4">
        <v>5799</v>
      </c>
      <c r="E4" s="11" t="s">
        <v>99</v>
      </c>
      <c r="F4" s="12">
        <v>603541.18028534378</v>
      </c>
      <c r="G4" s="12">
        <v>772156</v>
      </c>
      <c r="H4" s="12">
        <f t="shared" ref="H4:H36" si="0">F4+G4</f>
        <v>1375697.1802853439</v>
      </c>
      <c r="I4" s="11" t="s">
        <v>107</v>
      </c>
      <c r="J4" s="12">
        <f>100000+7900000</f>
        <v>8000000</v>
      </c>
      <c r="K4" s="12">
        <v>8000000</v>
      </c>
      <c r="L4" s="12">
        <v>7900000</v>
      </c>
      <c r="M4" s="11" t="s">
        <v>158</v>
      </c>
    </row>
    <row r="5" spans="1:13" s="5" customFormat="1" ht="78" customHeight="1" x14ac:dyDescent="0.25">
      <c r="A5" s="9" t="s">
        <v>40</v>
      </c>
      <c r="B5" s="10" t="s">
        <v>11</v>
      </c>
      <c r="C5" s="10" t="s">
        <v>63</v>
      </c>
      <c r="D5" s="4">
        <v>2600</v>
      </c>
      <c r="E5" s="11" t="s">
        <v>99</v>
      </c>
      <c r="F5" s="12">
        <v>927641.1419006174</v>
      </c>
      <c r="G5" s="12">
        <v>131943.98850636114</v>
      </c>
      <c r="H5" s="12">
        <f t="shared" si="0"/>
        <v>1059585.1304069785</v>
      </c>
      <c r="I5" s="11" t="s">
        <v>108</v>
      </c>
      <c r="J5" s="12">
        <f>839091.02+858947.74+482776.03</f>
        <v>2180814.79</v>
      </c>
      <c r="K5" s="12">
        <v>2180814.79</v>
      </c>
      <c r="L5" s="12" t="s">
        <v>110</v>
      </c>
      <c r="M5" s="11" t="s">
        <v>159</v>
      </c>
    </row>
    <row r="6" spans="1:13" s="5" customFormat="1" ht="78" customHeight="1" x14ac:dyDescent="0.25">
      <c r="A6" s="9" t="s">
        <v>41</v>
      </c>
      <c r="B6" s="10" t="s">
        <v>11</v>
      </c>
      <c r="C6" s="10" t="s">
        <v>64</v>
      </c>
      <c r="D6" s="4">
        <v>5003</v>
      </c>
      <c r="E6" s="11" t="s">
        <v>99</v>
      </c>
      <c r="F6" s="12">
        <v>1071012.382444005</v>
      </c>
      <c r="G6" s="12">
        <v>465393.22415427456</v>
      </c>
      <c r="H6" s="12">
        <f t="shared" ref="H6:H18" si="1">F6+G6</f>
        <v>1536405.6065982794</v>
      </c>
      <c r="I6" s="11" t="s">
        <v>109</v>
      </c>
      <c r="J6" s="12">
        <f>638144.05+3616149.7</f>
        <v>4254293.75</v>
      </c>
      <c r="K6" s="12">
        <v>4254293.75</v>
      </c>
      <c r="L6" s="12" t="s">
        <v>110</v>
      </c>
      <c r="M6" s="11" t="s">
        <v>160</v>
      </c>
    </row>
    <row r="7" spans="1:13" s="5" customFormat="1" ht="75" x14ac:dyDescent="0.25">
      <c r="A7" s="9" t="s">
        <v>46</v>
      </c>
      <c r="B7" s="10" t="s">
        <v>11</v>
      </c>
      <c r="C7" s="10" t="s">
        <v>65</v>
      </c>
      <c r="D7" s="4">
        <v>2814</v>
      </c>
      <c r="E7" s="11" t="s">
        <v>99</v>
      </c>
      <c r="F7" s="12">
        <v>114684.22941148125</v>
      </c>
      <c r="G7" s="12">
        <v>293815.08714897226</v>
      </c>
      <c r="H7" s="12">
        <f t="shared" si="1"/>
        <v>408499.3165604535</v>
      </c>
      <c r="I7" s="13" t="s">
        <v>124</v>
      </c>
      <c r="J7" s="12">
        <f>70000+150000+200000+1200000+1500000</f>
        <v>3120000</v>
      </c>
      <c r="K7" s="12">
        <v>3120000</v>
      </c>
      <c r="L7" s="14">
        <v>200000</v>
      </c>
      <c r="M7" s="13" t="s">
        <v>161</v>
      </c>
    </row>
    <row r="8" spans="1:13" s="5" customFormat="1" ht="120" x14ac:dyDescent="0.25">
      <c r="A8" s="9" t="s">
        <v>39</v>
      </c>
      <c r="B8" s="10" t="s">
        <v>11</v>
      </c>
      <c r="C8" s="10" t="s">
        <v>66</v>
      </c>
      <c r="D8" s="4">
        <v>14247</v>
      </c>
      <c r="E8" s="11" t="s">
        <v>77</v>
      </c>
      <c r="F8" s="12">
        <v>1735647.5771087096</v>
      </c>
      <c r="G8" s="12">
        <v>2702667.164408158</v>
      </c>
      <c r="H8" s="12">
        <f t="shared" si="1"/>
        <v>4438314.7415168677</v>
      </c>
      <c r="I8" s="13" t="s">
        <v>130</v>
      </c>
      <c r="J8" s="12">
        <f>120000+1854734.51+211000+30000+2436027.4+2436027.4</f>
        <v>7087789.3100000005</v>
      </c>
      <c r="K8" s="12">
        <v>7087789.3099999996</v>
      </c>
      <c r="L8" s="14">
        <v>1854734.51</v>
      </c>
      <c r="M8" s="13" t="s">
        <v>143</v>
      </c>
    </row>
    <row r="9" spans="1:13" s="5" customFormat="1" ht="105" x14ac:dyDescent="0.25">
      <c r="A9" s="9" t="s">
        <v>44</v>
      </c>
      <c r="B9" s="10" t="s">
        <v>11</v>
      </c>
      <c r="C9" s="10" t="s">
        <v>67</v>
      </c>
      <c r="D9" s="4">
        <v>5673</v>
      </c>
      <c r="E9" s="11" t="s">
        <v>99</v>
      </c>
      <c r="F9" s="12">
        <v>218326.20695808245</v>
      </c>
      <c r="G9" s="12">
        <v>626170.61986529513</v>
      </c>
      <c r="H9" s="12">
        <f t="shared" si="1"/>
        <v>844496.82682337752</v>
      </c>
      <c r="I9" s="13" t="s">
        <v>132</v>
      </c>
      <c r="J9" s="12">
        <f>189100+4064900</f>
        <v>4254000</v>
      </c>
      <c r="K9" s="12">
        <v>4254000</v>
      </c>
      <c r="L9" s="12" t="s">
        <v>110</v>
      </c>
      <c r="M9" s="13" t="s">
        <v>162</v>
      </c>
    </row>
    <row r="10" spans="1:13" s="5" customFormat="1" ht="90" x14ac:dyDescent="0.25">
      <c r="A10" s="9" t="s">
        <v>45</v>
      </c>
      <c r="B10" s="10" t="s">
        <v>11</v>
      </c>
      <c r="C10" s="10" t="s">
        <v>68</v>
      </c>
      <c r="D10" s="4">
        <v>8284</v>
      </c>
      <c r="E10" s="11" t="s">
        <v>99</v>
      </c>
      <c r="F10" s="12">
        <v>0</v>
      </c>
      <c r="G10" s="12">
        <v>1758586.1243833986</v>
      </c>
      <c r="H10" s="12">
        <f t="shared" si="1"/>
        <v>1758586.1243833986</v>
      </c>
      <c r="I10" s="13" t="s">
        <v>133</v>
      </c>
      <c r="J10" s="12">
        <f>200000+2800000+1200000</f>
        <v>4200000</v>
      </c>
      <c r="K10" s="12">
        <v>4200000</v>
      </c>
      <c r="L10" s="12">
        <v>2800000</v>
      </c>
      <c r="M10" s="13" t="s">
        <v>163</v>
      </c>
    </row>
    <row r="11" spans="1:13" s="5" customFormat="1" ht="45" x14ac:dyDescent="0.25">
      <c r="A11" s="9" t="s">
        <v>37</v>
      </c>
      <c r="B11" s="10" t="s">
        <v>11</v>
      </c>
      <c r="C11" s="10" t="s">
        <v>69</v>
      </c>
      <c r="D11" s="4">
        <v>24394</v>
      </c>
      <c r="E11" s="11" t="s">
        <v>112</v>
      </c>
      <c r="F11" s="12">
        <v>7195687.3306791261</v>
      </c>
      <c r="G11" s="12">
        <v>4382591.7038013544</v>
      </c>
      <c r="H11" s="12">
        <f t="shared" si="1"/>
        <v>11578279.03448048</v>
      </c>
      <c r="I11" s="11" t="s">
        <v>106</v>
      </c>
      <c r="J11" s="12" t="s">
        <v>110</v>
      </c>
      <c r="K11" s="12" t="s">
        <v>110</v>
      </c>
      <c r="L11" s="12" t="s">
        <v>110</v>
      </c>
      <c r="M11" s="11" t="s">
        <v>145</v>
      </c>
    </row>
    <row r="12" spans="1:13" s="5" customFormat="1" ht="78" customHeight="1" x14ac:dyDescent="0.25">
      <c r="A12" s="9" t="s">
        <v>23</v>
      </c>
      <c r="B12" s="10" t="s">
        <v>11</v>
      </c>
      <c r="C12" s="10" t="s">
        <v>70</v>
      </c>
      <c r="D12" s="4">
        <v>8463</v>
      </c>
      <c r="E12" s="11" t="s">
        <v>99</v>
      </c>
      <c r="F12" s="12">
        <v>123018.19473422263</v>
      </c>
      <c r="G12" s="12">
        <v>1639154.2723240862</v>
      </c>
      <c r="H12" s="12">
        <f t="shared" si="1"/>
        <v>1762172.4670583089</v>
      </c>
      <c r="I12" s="11" t="s">
        <v>100</v>
      </c>
      <c r="J12" s="12">
        <v>250000</v>
      </c>
      <c r="K12" s="12">
        <v>250000</v>
      </c>
      <c r="L12" s="12" t="s">
        <v>110</v>
      </c>
      <c r="M12" s="11" t="s">
        <v>134</v>
      </c>
    </row>
    <row r="13" spans="1:13" s="5" customFormat="1" ht="75" x14ac:dyDescent="0.25">
      <c r="A13" s="9" t="s">
        <v>22</v>
      </c>
      <c r="B13" s="10" t="s">
        <v>11</v>
      </c>
      <c r="C13" s="10" t="s">
        <v>71</v>
      </c>
      <c r="D13" s="4">
        <v>3032</v>
      </c>
      <c r="E13" s="11" t="s">
        <v>99</v>
      </c>
      <c r="F13" s="12">
        <v>0</v>
      </c>
      <c r="G13" s="12">
        <v>435721.93905245635</v>
      </c>
      <c r="H13" s="12">
        <f t="shared" si="1"/>
        <v>435721.93905245635</v>
      </c>
      <c r="I13" s="11" t="s">
        <v>101</v>
      </c>
      <c r="J13" s="12">
        <v>4344879.0599999996</v>
      </c>
      <c r="K13" s="12">
        <v>4344879.0599999996</v>
      </c>
      <c r="L13" s="12">
        <v>4344879.0599999996</v>
      </c>
      <c r="M13" s="13" t="s">
        <v>164</v>
      </c>
    </row>
    <row r="14" spans="1:13" s="5" customFormat="1" ht="90" x14ac:dyDescent="0.25">
      <c r="A14" s="9" t="s">
        <v>17</v>
      </c>
      <c r="B14" s="10" t="s">
        <v>11</v>
      </c>
      <c r="C14" s="10" t="s">
        <v>72</v>
      </c>
      <c r="D14" s="4">
        <v>15542</v>
      </c>
      <c r="E14" s="11" t="s">
        <v>99</v>
      </c>
      <c r="F14" s="12">
        <v>1921241.3558286361</v>
      </c>
      <c r="G14" s="12">
        <v>2667167.811100035</v>
      </c>
      <c r="H14" s="12">
        <f t="shared" si="1"/>
        <v>4588409.1669286713</v>
      </c>
      <c r="I14" s="13" t="s">
        <v>135</v>
      </c>
      <c r="J14" s="12">
        <f>212714.69+6877774.92</f>
        <v>7090489.6100000003</v>
      </c>
      <c r="K14" s="12">
        <v>7090489.6100000003</v>
      </c>
      <c r="L14" s="12">
        <v>6877774.9199999999</v>
      </c>
      <c r="M14" s="13" t="s">
        <v>165</v>
      </c>
    </row>
    <row r="15" spans="1:13" s="5" customFormat="1" ht="90" x14ac:dyDescent="0.25">
      <c r="A15" s="9" t="s">
        <v>36</v>
      </c>
      <c r="B15" s="10" t="s">
        <v>11</v>
      </c>
      <c r="C15" s="10" t="s">
        <v>73</v>
      </c>
      <c r="D15" s="4">
        <v>4789</v>
      </c>
      <c r="E15" s="11" t="s">
        <v>99</v>
      </c>
      <c r="F15" s="12">
        <v>935853.85948147462</v>
      </c>
      <c r="G15" s="12">
        <v>1086855.4190535876</v>
      </c>
      <c r="H15" s="12">
        <f t="shared" si="1"/>
        <v>2022709.2785350622</v>
      </c>
      <c r="I15" s="13" t="s">
        <v>135</v>
      </c>
      <c r="J15" s="15">
        <f>95000+4304292.76</f>
        <v>4399292.76</v>
      </c>
      <c r="K15" s="16">
        <v>4254293.76</v>
      </c>
      <c r="L15" s="12">
        <v>4304292.76</v>
      </c>
      <c r="M15" s="13" t="s">
        <v>166</v>
      </c>
    </row>
    <row r="16" spans="1:13" s="5" customFormat="1" ht="135" x14ac:dyDescent="0.25">
      <c r="A16" s="9" t="s">
        <v>43</v>
      </c>
      <c r="B16" s="10" t="s">
        <v>11</v>
      </c>
      <c r="C16" s="10" t="s">
        <v>74</v>
      </c>
      <c r="D16" s="4">
        <v>17798</v>
      </c>
      <c r="E16" s="11" t="s">
        <v>99</v>
      </c>
      <c r="F16" s="12">
        <v>4251303.9790575914</v>
      </c>
      <c r="G16" s="12">
        <v>3950716</v>
      </c>
      <c r="H16" s="12">
        <f t="shared" si="1"/>
        <v>8202019.9790575914</v>
      </c>
      <c r="I16" s="13" t="s">
        <v>136</v>
      </c>
      <c r="J16" s="12">
        <f>90000+80000+520000+250000+2505939.03+1618606.38+1381546.77+2300000</f>
        <v>8746092.1799999997</v>
      </c>
      <c r="K16" s="12">
        <v>8746092.1799999997</v>
      </c>
      <c r="L16" s="12" t="s">
        <v>110</v>
      </c>
      <c r="M16" s="11" t="s">
        <v>167</v>
      </c>
    </row>
    <row r="17" spans="1:13" s="5" customFormat="1" ht="45" x14ac:dyDescent="0.25">
      <c r="A17" s="9" t="s">
        <v>34</v>
      </c>
      <c r="B17" s="10" t="s">
        <v>11</v>
      </c>
      <c r="C17" s="10" t="s">
        <v>75</v>
      </c>
      <c r="D17" s="4">
        <v>4127</v>
      </c>
      <c r="E17" s="11" t="s">
        <v>99</v>
      </c>
      <c r="F17" s="12">
        <v>114733.08469564609</v>
      </c>
      <c r="G17" s="12">
        <v>591651.10078138812</v>
      </c>
      <c r="H17" s="12">
        <f t="shared" si="1"/>
        <v>706384.18547703419</v>
      </c>
      <c r="I17" s="13" t="s">
        <v>137</v>
      </c>
      <c r="J17" s="12">
        <f>127600+4126493.76</f>
        <v>4254093.76</v>
      </c>
      <c r="K17" s="12">
        <v>4254093.76</v>
      </c>
      <c r="L17" s="12" t="s">
        <v>110</v>
      </c>
      <c r="M17" s="11" t="s">
        <v>131</v>
      </c>
    </row>
    <row r="18" spans="1:13" s="5" customFormat="1" ht="75" x14ac:dyDescent="0.25">
      <c r="A18" s="9" t="s">
        <v>48</v>
      </c>
      <c r="B18" s="10" t="s">
        <v>11</v>
      </c>
      <c r="C18" s="10" t="s">
        <v>76</v>
      </c>
      <c r="D18" s="4">
        <v>87542</v>
      </c>
      <c r="E18" s="11" t="s">
        <v>77</v>
      </c>
      <c r="F18" s="12">
        <v>63160811.000710838</v>
      </c>
      <c r="G18" s="12">
        <v>16360090.361704765</v>
      </c>
      <c r="H18" s="12">
        <f t="shared" si="1"/>
        <v>79520901.362415597</v>
      </c>
      <c r="I18" s="11" t="s">
        <v>111</v>
      </c>
      <c r="J18" s="15">
        <v>2205930.1</v>
      </c>
      <c r="K18" s="16">
        <v>2205929.2000000002</v>
      </c>
      <c r="L18" s="12">
        <v>2205930.1</v>
      </c>
      <c r="M18" s="13" t="s">
        <v>142</v>
      </c>
    </row>
    <row r="19" spans="1:13" s="26" customFormat="1" ht="78" customHeight="1" x14ac:dyDescent="0.25">
      <c r="A19" s="22" t="s">
        <v>28</v>
      </c>
      <c r="B19" s="23" t="s">
        <v>11</v>
      </c>
      <c r="C19" s="23" t="s">
        <v>81</v>
      </c>
      <c r="D19" s="24">
        <v>257345</v>
      </c>
      <c r="E19" s="25" t="s">
        <v>77</v>
      </c>
      <c r="F19" s="15">
        <v>36654618</v>
      </c>
      <c r="G19" s="15">
        <f>21794667.7+14966588.31</f>
        <v>36761256.009999998</v>
      </c>
      <c r="H19" s="15">
        <f t="shared" si="0"/>
        <v>73415874.00999999</v>
      </c>
      <c r="I19" s="25" t="s">
        <v>117</v>
      </c>
      <c r="J19" s="15">
        <f>450023.12+14190747.45</f>
        <v>14640770.569999998</v>
      </c>
      <c r="K19" s="15">
        <v>14640770.57</v>
      </c>
      <c r="L19" s="15">
        <v>14190747.449999999</v>
      </c>
      <c r="M19" s="25" t="s">
        <v>181</v>
      </c>
    </row>
    <row r="20" spans="1:13" s="5" customFormat="1" ht="78" customHeight="1" x14ac:dyDescent="0.25">
      <c r="A20" s="9" t="s">
        <v>29</v>
      </c>
      <c r="B20" s="10" t="s">
        <v>11</v>
      </c>
      <c r="C20" s="10" t="s">
        <v>82</v>
      </c>
      <c r="D20" s="4">
        <v>18068</v>
      </c>
      <c r="E20" s="11" t="s">
        <v>99</v>
      </c>
      <c r="F20" s="12">
        <v>3524051.9120101463</v>
      </c>
      <c r="G20" s="12">
        <v>4041482.483480325</v>
      </c>
      <c r="H20" s="12">
        <f>F20+G20</f>
        <v>7565534.3954904713</v>
      </c>
      <c r="I20" s="11" t="s">
        <v>118</v>
      </c>
      <c r="J20" s="12">
        <f>255257.63+8253329.9</f>
        <v>8508587.5300000012</v>
      </c>
      <c r="K20" s="12">
        <v>8508587.5299999993</v>
      </c>
      <c r="L20" s="12">
        <v>8508587.5299999993</v>
      </c>
      <c r="M20" s="11" t="s">
        <v>168</v>
      </c>
    </row>
    <row r="21" spans="1:13" s="5" customFormat="1" ht="90" x14ac:dyDescent="0.25">
      <c r="A21" s="9" t="s">
        <v>42</v>
      </c>
      <c r="B21" s="10" t="s">
        <v>11</v>
      </c>
      <c r="C21" s="10" t="s">
        <v>78</v>
      </c>
      <c r="D21" s="4">
        <v>31604</v>
      </c>
      <c r="E21" s="11" t="s">
        <v>77</v>
      </c>
      <c r="F21" s="12">
        <v>10482873.137634506</v>
      </c>
      <c r="G21" s="12">
        <f>5180493.19+4915098.72</f>
        <v>10095591.91</v>
      </c>
      <c r="H21" s="12">
        <f t="shared" si="0"/>
        <v>20578465.047634505</v>
      </c>
      <c r="I21" s="11" t="s">
        <v>105</v>
      </c>
      <c r="J21" s="12">
        <v>11338753.82</v>
      </c>
      <c r="K21" s="12">
        <v>11338753.82</v>
      </c>
      <c r="L21" s="12">
        <v>11338753.82</v>
      </c>
      <c r="M21" s="11" t="s">
        <v>146</v>
      </c>
    </row>
    <row r="22" spans="1:13" s="5" customFormat="1" ht="135" x14ac:dyDescent="0.25">
      <c r="A22" s="9" t="s">
        <v>16</v>
      </c>
      <c r="B22" s="10" t="s">
        <v>11</v>
      </c>
      <c r="C22" s="10" t="s">
        <v>83</v>
      </c>
      <c r="D22" s="4">
        <v>25619</v>
      </c>
      <c r="E22" s="11" t="s">
        <v>99</v>
      </c>
      <c r="F22" s="12">
        <v>9606500.0250531975</v>
      </c>
      <c r="G22" s="12">
        <v>6065338.5019618003</v>
      </c>
      <c r="H22" s="12">
        <f t="shared" ref="H22:H29" si="2">F22+G22</f>
        <v>15671838.527014997</v>
      </c>
      <c r="I22" s="13" t="s">
        <v>141</v>
      </c>
      <c r="J22" s="12">
        <f>330000+2880000+956685+5760000</f>
        <v>9926685</v>
      </c>
      <c r="K22" s="12">
        <v>9926685</v>
      </c>
      <c r="L22" s="12">
        <f>2880000+956685+5760000</f>
        <v>9596685</v>
      </c>
      <c r="M22" s="11" t="s">
        <v>169</v>
      </c>
    </row>
    <row r="23" spans="1:13" s="5" customFormat="1" ht="90" x14ac:dyDescent="0.25">
      <c r="A23" s="9" t="s">
        <v>35</v>
      </c>
      <c r="B23" s="10" t="s">
        <v>11</v>
      </c>
      <c r="C23" s="10" t="s">
        <v>84</v>
      </c>
      <c r="D23" s="4">
        <v>6824</v>
      </c>
      <c r="E23" s="11" t="s">
        <v>99</v>
      </c>
      <c r="F23" s="12">
        <v>1444585.7459442518</v>
      </c>
      <c r="G23" s="12">
        <v>1903393.5000024387</v>
      </c>
      <c r="H23" s="12">
        <f t="shared" si="2"/>
        <v>3347979.2459466904</v>
      </c>
      <c r="I23" s="13" t="s">
        <v>140</v>
      </c>
      <c r="J23" s="12">
        <f>50000+100000+15000+4088040</f>
        <v>4253040</v>
      </c>
      <c r="K23" s="12">
        <v>4253040</v>
      </c>
      <c r="L23" s="12">
        <v>4088040</v>
      </c>
      <c r="M23" s="13" t="s">
        <v>170</v>
      </c>
    </row>
    <row r="24" spans="1:13" s="5" customFormat="1" ht="90" x14ac:dyDescent="0.25">
      <c r="A24" s="9" t="s">
        <v>27</v>
      </c>
      <c r="B24" s="10" t="s">
        <v>11</v>
      </c>
      <c r="C24" s="10" t="s">
        <v>85</v>
      </c>
      <c r="D24" s="4">
        <v>10870</v>
      </c>
      <c r="E24" s="11" t="s">
        <v>99</v>
      </c>
      <c r="F24" s="12">
        <v>2593926.9095477397</v>
      </c>
      <c r="G24" s="12">
        <v>2591512</v>
      </c>
      <c r="H24" s="12">
        <f t="shared" si="2"/>
        <v>5185438.9095477397</v>
      </c>
      <c r="I24" s="11" t="s">
        <v>119</v>
      </c>
      <c r="J24" s="12">
        <f>170171.75+5502219.94</f>
        <v>5672391.6900000004</v>
      </c>
      <c r="K24" s="12">
        <v>5672391.6900000004</v>
      </c>
      <c r="L24" s="12">
        <v>5502219.9400000004</v>
      </c>
      <c r="M24" s="11" t="s">
        <v>171</v>
      </c>
    </row>
    <row r="25" spans="1:13" s="5" customFormat="1" ht="90" x14ac:dyDescent="0.25">
      <c r="A25" s="9" t="s">
        <v>18</v>
      </c>
      <c r="B25" s="10" t="s">
        <v>11</v>
      </c>
      <c r="C25" s="10" t="s">
        <v>86</v>
      </c>
      <c r="D25" s="4">
        <v>4134</v>
      </c>
      <c r="E25" s="11" t="s">
        <v>99</v>
      </c>
      <c r="F25" s="12">
        <v>3245702.1481445269</v>
      </c>
      <c r="G25" s="12">
        <v>479155.20051333436</v>
      </c>
      <c r="H25" s="12">
        <f t="shared" si="2"/>
        <v>3724857.3486578614</v>
      </c>
      <c r="I25" s="11" t="s">
        <v>120</v>
      </c>
      <c r="J25" s="15">
        <f>127628.81+4126664.95</f>
        <v>4254293.76</v>
      </c>
      <c r="K25" s="16">
        <v>4254193.76</v>
      </c>
      <c r="L25" s="12">
        <v>4126664.95</v>
      </c>
      <c r="M25" s="11" t="s">
        <v>172</v>
      </c>
    </row>
    <row r="26" spans="1:13" s="5" customFormat="1" ht="90" x14ac:dyDescent="0.25">
      <c r="A26" s="9" t="s">
        <v>87</v>
      </c>
      <c r="B26" s="10" t="s">
        <v>11</v>
      </c>
      <c r="C26" s="10" t="s">
        <v>88</v>
      </c>
      <c r="D26" s="4">
        <v>7103</v>
      </c>
      <c r="E26" s="11" t="s">
        <v>99</v>
      </c>
      <c r="F26" s="12">
        <v>1015616.9654132441</v>
      </c>
      <c r="G26" s="12">
        <v>1304130.333876889</v>
      </c>
      <c r="H26" s="12">
        <f t="shared" si="2"/>
        <v>2319747.2992901332</v>
      </c>
      <c r="I26" s="11" t="s">
        <v>121</v>
      </c>
      <c r="J26" s="12">
        <f>322000+3932234.37</f>
        <v>4254234.37</v>
      </c>
      <c r="K26" s="12">
        <v>4254234.37</v>
      </c>
      <c r="L26" s="12">
        <v>3932234.37</v>
      </c>
      <c r="M26" s="11" t="s">
        <v>173</v>
      </c>
    </row>
    <row r="27" spans="1:13" s="5" customFormat="1" ht="30" x14ac:dyDescent="0.25">
      <c r="A27" s="9" t="s">
        <v>12</v>
      </c>
      <c r="B27" s="10" t="s">
        <v>11</v>
      </c>
      <c r="C27" s="10" t="s">
        <v>89</v>
      </c>
      <c r="D27" s="4">
        <v>7478</v>
      </c>
      <c r="E27" s="11" t="s">
        <v>99</v>
      </c>
      <c r="F27" s="12">
        <v>923018.59407340956</v>
      </c>
      <c r="G27" s="12">
        <v>978837.88817233569</v>
      </c>
      <c r="H27" s="12">
        <f t="shared" si="2"/>
        <v>1901856.4822457451</v>
      </c>
      <c r="I27" s="11" t="s">
        <v>102</v>
      </c>
      <c r="J27" s="12">
        <v>250000</v>
      </c>
      <c r="K27" s="12">
        <v>250000</v>
      </c>
      <c r="L27" s="12" t="s">
        <v>110</v>
      </c>
      <c r="M27" s="11" t="s">
        <v>174</v>
      </c>
    </row>
    <row r="28" spans="1:13" s="5" customFormat="1" ht="150" x14ac:dyDescent="0.25">
      <c r="A28" s="9" t="s">
        <v>26</v>
      </c>
      <c r="B28" s="10" t="s">
        <v>11</v>
      </c>
      <c r="C28" s="10" t="s">
        <v>90</v>
      </c>
      <c r="D28" s="4">
        <v>278363</v>
      </c>
      <c r="E28" s="11" t="s">
        <v>113</v>
      </c>
      <c r="F28" s="12">
        <v>32782521.531450734</v>
      </c>
      <c r="G28" s="12">
        <v>83635555.634358138</v>
      </c>
      <c r="H28" s="12">
        <f t="shared" si="2"/>
        <v>116418077.16580887</v>
      </c>
      <c r="I28" s="13" t="s">
        <v>147</v>
      </c>
      <c r="J28" s="12">
        <f>4462000+19885000+12222000+15035000+4462000+1632000</f>
        <v>57698000</v>
      </c>
      <c r="K28" s="12">
        <v>57698000</v>
      </c>
      <c r="L28" s="12">
        <v>57698000</v>
      </c>
      <c r="M28" s="11" t="s">
        <v>148</v>
      </c>
    </row>
    <row r="29" spans="1:13" s="5" customFormat="1" ht="90" x14ac:dyDescent="0.25">
      <c r="A29" s="9" t="s">
        <v>47</v>
      </c>
      <c r="B29" s="10" t="s">
        <v>11</v>
      </c>
      <c r="C29" s="10" t="s">
        <v>91</v>
      </c>
      <c r="D29" s="4">
        <v>5842</v>
      </c>
      <c r="E29" s="11" t="s">
        <v>99</v>
      </c>
      <c r="F29" s="12">
        <v>724452.12222770287</v>
      </c>
      <c r="G29" s="12">
        <v>630073.73342989502</v>
      </c>
      <c r="H29" s="12">
        <f t="shared" si="2"/>
        <v>1354525.855657598</v>
      </c>
      <c r="I29" s="11" t="s">
        <v>122</v>
      </c>
      <c r="J29" s="12">
        <f>127628.81 + 4126564.95</f>
        <v>4254193.76</v>
      </c>
      <c r="K29" s="12">
        <v>4254193.76</v>
      </c>
      <c r="L29" s="12">
        <v>4126564.95</v>
      </c>
      <c r="M29" s="11" t="s">
        <v>175</v>
      </c>
    </row>
    <row r="30" spans="1:13" s="5" customFormat="1" ht="137.25" customHeight="1" x14ac:dyDescent="0.25">
      <c r="A30" s="9" t="s">
        <v>24</v>
      </c>
      <c r="B30" s="10" t="s">
        <v>11</v>
      </c>
      <c r="C30" s="10" t="s">
        <v>92</v>
      </c>
      <c r="D30" s="4">
        <v>3304</v>
      </c>
      <c r="E30" s="11" t="s">
        <v>99</v>
      </c>
      <c r="F30" s="12">
        <v>382137.51050520828</v>
      </c>
      <c r="G30" s="12">
        <v>381606.71390233136</v>
      </c>
      <c r="H30" s="12">
        <f t="shared" si="0"/>
        <v>763744.2244075397</v>
      </c>
      <c r="I30" s="13" t="s">
        <v>179</v>
      </c>
      <c r="J30" s="12">
        <f>75000+75000+30000+51120+869819.81+529000</f>
        <v>1629939.81</v>
      </c>
      <c r="K30" s="12">
        <v>1629939.81</v>
      </c>
      <c r="L30" s="12">
        <f>869819.81</f>
        <v>869819.81</v>
      </c>
      <c r="M30" s="11" t="s">
        <v>180</v>
      </c>
    </row>
    <row r="31" spans="1:13" s="5" customFormat="1" ht="60" x14ac:dyDescent="0.25">
      <c r="A31" s="9" t="s">
        <v>49</v>
      </c>
      <c r="B31" s="10" t="s">
        <v>11</v>
      </c>
      <c r="C31" s="10" t="s">
        <v>93</v>
      </c>
      <c r="D31" s="4">
        <v>6669</v>
      </c>
      <c r="E31" s="11" t="s">
        <v>99</v>
      </c>
      <c r="F31" s="12">
        <v>4747063.0556309922</v>
      </c>
      <c r="G31" s="12">
        <v>1092890.7442071147</v>
      </c>
      <c r="H31" s="12">
        <f>F31+G31</f>
        <v>5839953.7998381071</v>
      </c>
      <c r="I31" s="13" t="s">
        <v>177</v>
      </c>
      <c r="J31" s="15">
        <f>250000+250000+2500000</f>
        <v>3000000</v>
      </c>
      <c r="K31" s="16">
        <v>2850000</v>
      </c>
      <c r="L31" s="12">
        <v>2500000</v>
      </c>
      <c r="M31" s="11" t="s">
        <v>178</v>
      </c>
    </row>
    <row r="32" spans="1:13" s="5" customFormat="1" ht="75" x14ac:dyDescent="0.25">
      <c r="A32" s="9" t="s">
        <v>25</v>
      </c>
      <c r="B32" s="10" t="s">
        <v>11</v>
      </c>
      <c r="C32" s="10" t="s">
        <v>94</v>
      </c>
      <c r="D32" s="4">
        <v>7061</v>
      </c>
      <c r="E32" s="11" t="s">
        <v>114</v>
      </c>
      <c r="F32" s="12">
        <v>340290.88640428067</v>
      </c>
      <c r="G32" s="12">
        <v>1543923.3575804101</v>
      </c>
      <c r="H32" s="12">
        <f>F32+G32</f>
        <v>1884214.2439846909</v>
      </c>
      <c r="I32" s="13" t="s">
        <v>129</v>
      </c>
      <c r="J32" s="12">
        <f>300000+500000+100000+3326993.07</f>
        <v>4226993.07</v>
      </c>
      <c r="K32" s="12">
        <v>4226993.07</v>
      </c>
      <c r="L32" s="12">
        <v>3326993.07</v>
      </c>
      <c r="M32" s="11" t="s">
        <v>149</v>
      </c>
    </row>
    <row r="33" spans="1:13" s="5" customFormat="1" ht="60" x14ac:dyDescent="0.25">
      <c r="A33" s="9" t="s">
        <v>19</v>
      </c>
      <c r="B33" s="10" t="s">
        <v>11</v>
      </c>
      <c r="C33" s="10" t="s">
        <v>79</v>
      </c>
      <c r="D33" s="4">
        <v>90782</v>
      </c>
      <c r="E33" s="11" t="s">
        <v>77</v>
      </c>
      <c r="F33" s="12">
        <v>27556220.75593368</v>
      </c>
      <c r="G33" s="12">
        <f>25252141.7+8710463.64</f>
        <v>33962605.340000004</v>
      </c>
      <c r="H33" s="12">
        <f>F33+G33</f>
        <v>61518826.095933683</v>
      </c>
      <c r="I33" s="11" t="s">
        <v>104</v>
      </c>
      <c r="J33" s="12">
        <f>441510.07+15000000</f>
        <v>15441510.07</v>
      </c>
      <c r="K33" s="12">
        <v>15441510.07</v>
      </c>
      <c r="L33" s="12" t="s">
        <v>110</v>
      </c>
      <c r="M33" s="11" t="s">
        <v>150</v>
      </c>
    </row>
    <row r="34" spans="1:13" s="5" customFormat="1" ht="90" x14ac:dyDescent="0.25">
      <c r="A34" s="9" t="s">
        <v>21</v>
      </c>
      <c r="B34" s="10" t="s">
        <v>11</v>
      </c>
      <c r="C34" s="10" t="s">
        <v>95</v>
      </c>
      <c r="D34" s="4">
        <v>23141</v>
      </c>
      <c r="E34" s="11" t="s">
        <v>115</v>
      </c>
      <c r="F34" s="12">
        <v>2233031.8773567979</v>
      </c>
      <c r="G34" s="12">
        <v>4405828.9834921798</v>
      </c>
      <c r="H34" s="12">
        <f>F34+G34</f>
        <v>6638860.8608489782</v>
      </c>
      <c r="I34" s="11" t="s">
        <v>103</v>
      </c>
      <c r="J34" s="12">
        <v>9453986.1400000006</v>
      </c>
      <c r="K34" s="12">
        <v>9453986.1400000006</v>
      </c>
      <c r="L34" s="12">
        <v>9453986.1400000006</v>
      </c>
      <c r="M34" s="11" t="s">
        <v>152</v>
      </c>
    </row>
    <row r="35" spans="1:13" s="5" customFormat="1" ht="90" x14ac:dyDescent="0.25">
      <c r="A35" s="9" t="s">
        <v>38</v>
      </c>
      <c r="B35" s="10" t="s">
        <v>11</v>
      </c>
      <c r="C35" s="10" t="s">
        <v>80</v>
      </c>
      <c r="D35" s="4">
        <v>17675</v>
      </c>
      <c r="E35" s="11" t="s">
        <v>77</v>
      </c>
      <c r="F35" s="12">
        <v>976072.09962047008</v>
      </c>
      <c r="G35" s="12">
        <v>242018.63676574783</v>
      </c>
      <c r="H35" s="12">
        <f>F35+G35</f>
        <v>1218090.7363862179</v>
      </c>
      <c r="I35" s="11" t="s">
        <v>103</v>
      </c>
      <c r="J35" s="12">
        <v>8508463.0099999998</v>
      </c>
      <c r="K35" s="12">
        <v>8508463.0099999998</v>
      </c>
      <c r="L35" s="12">
        <v>8508463.0099999998</v>
      </c>
      <c r="M35" s="11" t="s">
        <v>151</v>
      </c>
    </row>
    <row r="36" spans="1:13" s="5" customFormat="1" ht="78" customHeight="1" x14ac:dyDescent="0.25">
      <c r="A36" s="9" t="s">
        <v>31</v>
      </c>
      <c r="B36" s="10" t="s">
        <v>11</v>
      </c>
      <c r="C36" s="10" t="s">
        <v>96</v>
      </c>
      <c r="D36" s="4">
        <v>6087</v>
      </c>
      <c r="E36" s="11" t="s">
        <v>99</v>
      </c>
      <c r="F36" s="12">
        <v>1454814.7046289085</v>
      </c>
      <c r="G36" s="12">
        <v>693918.3791125766</v>
      </c>
      <c r="H36" s="12">
        <f t="shared" si="0"/>
        <v>2148733.0837414851</v>
      </c>
      <c r="I36" s="11" t="s">
        <v>128</v>
      </c>
      <c r="J36" s="12">
        <f>50000+500000+1000000</f>
        <v>1550000</v>
      </c>
      <c r="K36" s="12">
        <v>1550000</v>
      </c>
      <c r="L36" s="12" t="s">
        <v>110</v>
      </c>
      <c r="M36" s="11" t="s">
        <v>176</v>
      </c>
    </row>
    <row r="37" spans="1:13" s="5" customFormat="1" ht="60" x14ac:dyDescent="0.25">
      <c r="A37" s="9" t="s">
        <v>10</v>
      </c>
      <c r="B37" s="10" t="s">
        <v>11</v>
      </c>
      <c r="C37" s="10" t="s">
        <v>97</v>
      </c>
      <c r="D37" s="4">
        <v>25694</v>
      </c>
      <c r="E37" s="11" t="s">
        <v>116</v>
      </c>
      <c r="F37" s="12">
        <v>3390021.7655528858</v>
      </c>
      <c r="G37" s="12">
        <v>2851007.7157355896</v>
      </c>
      <c r="H37" s="12">
        <f>F37+G37</f>
        <v>6241029.4812884759</v>
      </c>
      <c r="I37" s="11" t="s">
        <v>127</v>
      </c>
      <c r="J37" s="12">
        <f>551500+2480895+632308</f>
        <v>3664703</v>
      </c>
      <c r="K37" s="12">
        <v>3664703</v>
      </c>
      <c r="L37" s="12" t="s">
        <v>110</v>
      </c>
      <c r="M37" s="11" t="s">
        <v>131</v>
      </c>
    </row>
    <row r="38" spans="1:13" s="5" customFormat="1" ht="120" x14ac:dyDescent="0.25">
      <c r="A38" s="9" t="s">
        <v>13</v>
      </c>
      <c r="B38" s="10" t="s">
        <v>14</v>
      </c>
      <c r="C38" s="10" t="s">
        <v>55</v>
      </c>
      <c r="D38" s="4">
        <v>31467</v>
      </c>
      <c r="E38" s="11" t="s">
        <v>61</v>
      </c>
      <c r="F38" s="12">
        <v>8659477.2239768319</v>
      </c>
      <c r="G38" s="12">
        <v>5987744.8625374874</v>
      </c>
      <c r="H38" s="12">
        <f>F38+G38</f>
        <v>14647222.08651432</v>
      </c>
      <c r="I38" s="11" t="s">
        <v>125</v>
      </c>
      <c r="J38" s="12">
        <f>350000+500000</f>
        <v>850000</v>
      </c>
      <c r="K38" s="12">
        <v>850000</v>
      </c>
      <c r="L38" s="12" t="s">
        <v>110</v>
      </c>
      <c r="M38" s="11" t="s">
        <v>153</v>
      </c>
    </row>
    <row r="39" spans="1:13" s="5" customFormat="1" ht="375" x14ac:dyDescent="0.25">
      <c r="A39" s="9" t="s">
        <v>20</v>
      </c>
      <c r="B39" s="10" t="s">
        <v>14</v>
      </c>
      <c r="C39" s="10" t="s">
        <v>52</v>
      </c>
      <c r="D39" s="4">
        <v>122646</v>
      </c>
      <c r="E39" s="11" t="s">
        <v>60</v>
      </c>
      <c r="F39" s="12">
        <v>34521212.694721885</v>
      </c>
      <c r="G39" s="12">
        <v>38459520.598718233</v>
      </c>
      <c r="H39" s="12">
        <f>F39+G39</f>
        <v>72980733.293440118</v>
      </c>
      <c r="I39" s="13" t="s">
        <v>156</v>
      </c>
      <c r="J39" s="12">
        <f>90000+40000+36000+54000+36000+84000+48000+1061821.53+1062890.17+2588208.77+2356800+1200000+10694110.18+2244634.27+10596070.33+1533524.92+725019.01+600000+900000+600000+1400000+800000</f>
        <v>38751079.18</v>
      </c>
      <c r="K39" s="12">
        <v>38751079.18</v>
      </c>
      <c r="L39" s="12">
        <f>1061821.53+1062890.17+2588208.77+1200000+10694110.18+2244634.27+10596070.33+1533524.92+725019.01</f>
        <v>31706279.180000003</v>
      </c>
      <c r="M39" s="11" t="s">
        <v>157</v>
      </c>
    </row>
    <row r="40" spans="1:13" s="5" customFormat="1" ht="105" x14ac:dyDescent="0.25">
      <c r="A40" s="9" t="s">
        <v>33</v>
      </c>
      <c r="B40" s="10" t="s">
        <v>14</v>
      </c>
      <c r="C40" s="10" t="s">
        <v>53</v>
      </c>
      <c r="D40" s="4">
        <v>12353</v>
      </c>
      <c r="E40" s="11" t="s">
        <v>58</v>
      </c>
      <c r="F40" s="12">
        <v>4960530.0917193266</v>
      </c>
      <c r="G40" s="12">
        <v>885910.17313558049</v>
      </c>
      <c r="H40" s="12">
        <f>F40+G40</f>
        <v>5846440.2648549071</v>
      </c>
      <c r="I40" s="13" t="s">
        <v>126</v>
      </c>
      <c r="J40" s="12">
        <f>20000+25000+30000+70000+25000</f>
        <v>170000</v>
      </c>
      <c r="K40" s="12">
        <v>170000</v>
      </c>
      <c r="L40" s="12" t="s">
        <v>110</v>
      </c>
      <c r="M40" s="11" t="s">
        <v>154</v>
      </c>
    </row>
    <row r="41" spans="1:13" s="5" customFormat="1" ht="180" x14ac:dyDescent="0.25">
      <c r="A41" s="9" t="s">
        <v>30</v>
      </c>
      <c r="B41" s="10" t="s">
        <v>14</v>
      </c>
      <c r="C41" s="10" t="s">
        <v>54</v>
      </c>
      <c r="D41" s="4">
        <v>163662</v>
      </c>
      <c r="E41" s="11" t="s">
        <v>59</v>
      </c>
      <c r="F41" s="12">
        <v>92218439.861801505</v>
      </c>
      <c r="G41" s="12">
        <v>9674797.5370091144</v>
      </c>
      <c r="H41" s="12">
        <f>F41+G41</f>
        <v>101893237.39881063</v>
      </c>
      <c r="I41" s="11" t="s">
        <v>123</v>
      </c>
      <c r="J41" s="12">
        <f>2149012.1+13386885.84+500000+350000+5000000+1500000+750000+3000000+2500000</f>
        <v>29135897.939999998</v>
      </c>
      <c r="K41" s="12">
        <v>29135897.940000001</v>
      </c>
      <c r="L41" s="12">
        <f>13386885.84+500000+350000</f>
        <v>14236885.84</v>
      </c>
      <c r="M41" s="11" t="s">
        <v>155</v>
      </c>
    </row>
    <row r="42" spans="1:13" x14ac:dyDescent="0.25">
      <c r="F42" s="6"/>
      <c r="G42" s="6"/>
      <c r="H42" s="6"/>
      <c r="M42" s="8"/>
    </row>
    <row r="43" spans="1:13" x14ac:dyDescent="0.25">
      <c r="F43" s="6"/>
      <c r="G43" s="6"/>
      <c r="H43" s="6"/>
      <c r="M43" s="8"/>
    </row>
    <row r="44" spans="1:13" x14ac:dyDescent="0.25">
      <c r="F44" s="6"/>
      <c r="G44" s="6"/>
      <c r="H44" s="6"/>
      <c r="M44" s="8"/>
    </row>
    <row r="45" spans="1:13" x14ac:dyDescent="0.25">
      <c r="F45" s="6"/>
      <c r="G45" s="6"/>
      <c r="H45" s="6"/>
      <c r="M45" s="8"/>
    </row>
    <row r="46" spans="1:13" x14ac:dyDescent="0.25">
      <c r="F46" s="6"/>
      <c r="G46" s="6"/>
      <c r="H46" s="6"/>
      <c r="M46" s="8"/>
    </row>
    <row r="47" spans="1:13" x14ac:dyDescent="0.25">
      <c r="F47" s="6"/>
      <c r="G47" s="6"/>
      <c r="H47" s="6"/>
      <c r="M47" s="8"/>
    </row>
    <row r="48" spans="1:13" x14ac:dyDescent="0.25">
      <c r="F48" s="6"/>
      <c r="G48" s="6"/>
      <c r="H48" s="6"/>
      <c r="M48" s="8"/>
    </row>
    <row r="49" spans="6:13" x14ac:dyDescent="0.25">
      <c r="F49" s="6"/>
      <c r="G49" s="6"/>
      <c r="H49" s="6"/>
      <c r="M49" s="8"/>
    </row>
    <row r="50" spans="6:13" x14ac:dyDescent="0.25">
      <c r="F50" s="6"/>
      <c r="G50" s="6"/>
      <c r="H50" s="6"/>
      <c r="M50" s="8"/>
    </row>
    <row r="51" spans="6:13" x14ac:dyDescent="0.25">
      <c r="F51" s="6"/>
      <c r="G51" s="6"/>
      <c r="H51" s="6"/>
      <c r="M51" s="8"/>
    </row>
    <row r="52" spans="6:13" x14ac:dyDescent="0.25">
      <c r="F52" s="6"/>
      <c r="G52" s="6"/>
      <c r="H52" s="6"/>
      <c r="M52" s="8"/>
    </row>
    <row r="53" spans="6:13" x14ac:dyDescent="0.25">
      <c r="F53" s="6"/>
      <c r="G53" s="6"/>
      <c r="H53" s="6"/>
      <c r="M53" s="8"/>
    </row>
    <row r="54" spans="6:13" x14ac:dyDescent="0.25">
      <c r="F54" s="6"/>
      <c r="G54" s="6"/>
      <c r="H54" s="6"/>
      <c r="M54" s="8"/>
    </row>
    <row r="55" spans="6:13" x14ac:dyDescent="0.25">
      <c r="F55" s="6"/>
      <c r="G55" s="6"/>
      <c r="H55" s="6"/>
      <c r="M55" s="8"/>
    </row>
    <row r="56" spans="6:13" x14ac:dyDescent="0.25">
      <c r="F56" s="6"/>
      <c r="G56" s="6"/>
      <c r="H56" s="6"/>
      <c r="M56" s="8"/>
    </row>
    <row r="57" spans="6:13" x14ac:dyDescent="0.25">
      <c r="F57" s="6"/>
      <c r="G57" s="6"/>
      <c r="H57" s="6"/>
      <c r="M57" s="8"/>
    </row>
    <row r="58" spans="6:13" x14ac:dyDescent="0.25">
      <c r="F58" s="6"/>
      <c r="G58" s="6"/>
      <c r="H58" s="6"/>
      <c r="M58" s="8"/>
    </row>
    <row r="59" spans="6:13" x14ac:dyDescent="0.25">
      <c r="F59" s="6"/>
      <c r="G59" s="6"/>
      <c r="H59" s="6"/>
      <c r="M59" s="8"/>
    </row>
    <row r="60" spans="6:13" x14ac:dyDescent="0.25">
      <c r="F60" s="6"/>
      <c r="G60" s="6"/>
      <c r="H60" s="6"/>
      <c r="M60" s="8"/>
    </row>
    <row r="61" spans="6:13" x14ac:dyDescent="0.25">
      <c r="F61" s="6"/>
      <c r="G61" s="6"/>
      <c r="H61" s="6"/>
      <c r="M61" s="8"/>
    </row>
    <row r="62" spans="6:13" x14ac:dyDescent="0.25">
      <c r="F62" s="6"/>
      <c r="G62" s="6"/>
      <c r="H62" s="6"/>
      <c r="M62" s="8"/>
    </row>
    <row r="63" spans="6:13" x14ac:dyDescent="0.25">
      <c r="F63" s="6"/>
      <c r="G63" s="6"/>
      <c r="H63" s="6"/>
      <c r="M63" s="8"/>
    </row>
    <row r="64" spans="6:13" x14ac:dyDescent="0.25">
      <c r="F64" s="6"/>
      <c r="G64" s="6"/>
      <c r="H64" s="6"/>
      <c r="M64" s="8"/>
    </row>
    <row r="65" spans="6:13" x14ac:dyDescent="0.25">
      <c r="F65" s="6"/>
      <c r="G65" s="6"/>
      <c r="H65" s="6"/>
      <c r="M65" s="8"/>
    </row>
    <row r="66" spans="6:13" x14ac:dyDescent="0.25">
      <c r="F66" s="6"/>
      <c r="G66" s="6"/>
      <c r="H66" s="6"/>
      <c r="M66" s="8"/>
    </row>
    <row r="67" spans="6:13" x14ac:dyDescent="0.25">
      <c r="F67" s="6"/>
      <c r="G67" s="6"/>
      <c r="H67" s="6"/>
      <c r="M67" s="8"/>
    </row>
    <row r="68" spans="6:13" x14ac:dyDescent="0.25">
      <c r="F68" s="6"/>
      <c r="G68" s="6"/>
      <c r="H68" s="6"/>
      <c r="M68" s="8"/>
    </row>
    <row r="69" spans="6:13" x14ac:dyDescent="0.25">
      <c r="F69" s="6"/>
      <c r="G69" s="6"/>
      <c r="H69" s="6"/>
      <c r="M69" s="8"/>
    </row>
    <row r="70" spans="6:13" x14ac:dyDescent="0.25">
      <c r="F70" s="6"/>
      <c r="G70" s="6"/>
      <c r="H70" s="6"/>
      <c r="M70" s="8"/>
    </row>
    <row r="71" spans="6:13" x14ac:dyDescent="0.25">
      <c r="F71" s="6"/>
      <c r="G71" s="6"/>
      <c r="H71" s="6"/>
      <c r="M71" s="8"/>
    </row>
    <row r="72" spans="6:13" x14ac:dyDescent="0.25">
      <c r="F72" s="6"/>
      <c r="G72" s="6"/>
      <c r="H72" s="6"/>
      <c r="M72" s="8"/>
    </row>
    <row r="73" spans="6:13" x14ac:dyDescent="0.25">
      <c r="F73" s="6"/>
      <c r="G73" s="6"/>
      <c r="H73" s="6"/>
      <c r="M73" s="8"/>
    </row>
    <row r="74" spans="6:13" x14ac:dyDescent="0.25">
      <c r="F74" s="6"/>
      <c r="G74" s="6"/>
      <c r="H74" s="6"/>
      <c r="M74" s="8"/>
    </row>
    <row r="75" spans="6:13" x14ac:dyDescent="0.25">
      <c r="F75" s="6"/>
      <c r="G75" s="6"/>
      <c r="H75" s="6"/>
      <c r="M75" s="8"/>
    </row>
    <row r="76" spans="6:13" x14ac:dyDescent="0.25">
      <c r="F76" s="6"/>
      <c r="G76" s="6"/>
      <c r="H76" s="6"/>
      <c r="M76" s="8"/>
    </row>
    <row r="77" spans="6:13" x14ac:dyDescent="0.25">
      <c r="F77" s="6"/>
      <c r="G77" s="6"/>
      <c r="H77" s="6"/>
      <c r="M77" s="8"/>
    </row>
    <row r="78" spans="6:13" x14ac:dyDescent="0.25">
      <c r="F78" s="6"/>
      <c r="G78" s="6"/>
      <c r="H78" s="6"/>
      <c r="M78" s="8"/>
    </row>
    <row r="79" spans="6:13" x14ac:dyDescent="0.25">
      <c r="F79" s="6"/>
      <c r="G79" s="6"/>
      <c r="H79" s="6"/>
      <c r="M79" s="8"/>
    </row>
    <row r="80" spans="6:13" x14ac:dyDescent="0.25">
      <c r="F80" s="6"/>
      <c r="G80" s="6"/>
      <c r="H80" s="6"/>
      <c r="M80" s="8"/>
    </row>
    <row r="81" spans="6:13" x14ac:dyDescent="0.25">
      <c r="F81" s="6"/>
      <c r="G81" s="6"/>
      <c r="H81" s="6"/>
      <c r="M81" s="8"/>
    </row>
    <row r="82" spans="6:13" x14ac:dyDescent="0.25">
      <c r="F82" s="6"/>
      <c r="G82" s="6"/>
      <c r="H82" s="6"/>
      <c r="M82" s="8"/>
    </row>
    <row r="83" spans="6:13" x14ac:dyDescent="0.25">
      <c r="F83" s="6"/>
      <c r="G83" s="6"/>
      <c r="H83" s="6"/>
      <c r="M83" s="8"/>
    </row>
    <row r="84" spans="6:13" x14ac:dyDescent="0.25">
      <c r="F84" s="6"/>
      <c r="G84" s="6"/>
      <c r="H84" s="6"/>
      <c r="M84" s="8"/>
    </row>
    <row r="85" spans="6:13" x14ac:dyDescent="0.25">
      <c r="M85" s="8"/>
    </row>
    <row r="86" spans="6:13" x14ac:dyDescent="0.25">
      <c r="M86" s="8"/>
    </row>
    <row r="87" spans="6:13" x14ac:dyDescent="0.25">
      <c r="M87" s="8"/>
    </row>
    <row r="88" spans="6:13" x14ac:dyDescent="0.25">
      <c r="M88" s="8"/>
    </row>
    <row r="89" spans="6:13" x14ac:dyDescent="0.25">
      <c r="M89" s="8"/>
    </row>
    <row r="90" spans="6:13" x14ac:dyDescent="0.25">
      <c r="M90" s="8"/>
    </row>
    <row r="91" spans="6:13" x14ac:dyDescent="0.25">
      <c r="M91" s="8"/>
    </row>
    <row r="92" spans="6:13" x14ac:dyDescent="0.25">
      <c r="M92" s="8"/>
    </row>
  </sheetData>
  <sortState ref="A1:L41">
    <sortCondition ref="C7"/>
  </sortState>
  <mergeCells count="11">
    <mergeCell ref="A1:A2"/>
    <mergeCell ref="B1:B2"/>
    <mergeCell ref="E1:E2"/>
    <mergeCell ref="J1:J2"/>
    <mergeCell ref="C1:C2"/>
    <mergeCell ref="D1:D2"/>
    <mergeCell ref="M1:M2"/>
    <mergeCell ref="K1:K2"/>
    <mergeCell ref="L1:L2"/>
    <mergeCell ref="F1:H1"/>
    <mergeCell ref="I1:I2"/>
  </mergeCells>
  <pageMargins left="0.511811024" right="0.511811024" top="0.78740157499999996" bottom="0.78740157499999996" header="0.31496062000000002" footer="0.31496062000000002"/>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COINF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Paula Montenegro Generino</dc:creator>
  <cp:lastModifiedBy>Celio Bartole Pereira</cp:lastModifiedBy>
  <dcterms:created xsi:type="dcterms:W3CDTF">2017-05-16T17:41:43Z</dcterms:created>
  <dcterms:modified xsi:type="dcterms:W3CDTF">2017-09-23T18:42:35Z</dcterms:modified>
</cp:coreProperties>
</file>